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ahl\Desktop\"/>
    </mc:Choice>
  </mc:AlternateContent>
  <xr:revisionPtr revIDLastSave="0" documentId="8_{33ACFD94-A52D-4F96-99D1-37B2EE0D57C8}" xr6:coauthVersionLast="47" xr6:coauthVersionMax="47" xr10:uidLastSave="{00000000-0000-0000-0000-000000000000}"/>
  <workbookProtection workbookAlgorithmName="SHA-512" workbookHashValue="5hkGhuM+iaG1CM6tYHT6YCTC6afUHAMFCcFndlxZicsRbdQQWNRejx8QwMnrxAXzAUjtGMhV99VuWlBFOiNkPA==" workbookSaltValue="+ODgChl2gloZWQxtX10pGg==" workbookSpinCount="100000" lockStructure="1"/>
  <bookViews>
    <workbookView xWindow="4215" yWindow="480" windowWidth="20160" windowHeight="13725" firstSheet="1" activeTab="1" xr2:uid="{B0B30ABF-E18E-9346-959E-6CE98AAB5875}"/>
  </bookViews>
  <sheets>
    <sheet name="HOWTO" sheetId="2" r:id="rId1"/>
    <sheet name="NIQ Sizing" sheetId="4" r:id="rId2"/>
  </sheets>
  <definedNames>
    <definedName name="ADJUSTED_FILES" localSheetId="1">'NIQ Sizing'!$C$91</definedName>
    <definedName name="ADJUSTED_FILES">#REF!</definedName>
    <definedName name="ADJUSTED_USERS">'NIQ Sizing'!$C$93</definedName>
    <definedName name="AGG_RETENTION_DAYS" localSheetId="1">'NIQ Sizing'!$C$89</definedName>
    <definedName name="AGG_RETENTION_DAYS">#REF!</definedName>
    <definedName name="BYTES_PER_EVENT">'NIQ Sizing'!$C$94</definedName>
    <definedName name="CONCURRENT_USERS" localSheetId="1">'NIQ Sizing'!#REF!</definedName>
    <definedName name="CONCURRENT_USERS">#REF!</definedName>
    <definedName name="DATABASE_HEADROOM" localSheetId="1">'NIQ Sizing'!$C$92</definedName>
    <definedName name="DATABASE_HEADROOM">#REF!</definedName>
    <definedName name="FOO">#REF!</definedName>
    <definedName name="LARGEST_VOLUME_FILES" localSheetId="1">'NIQ Sizing'!$C$87</definedName>
    <definedName name="LARGEST_VOLUME_FILES">#REF!</definedName>
    <definedName name="MIN_CORES" localSheetId="1">'NIQ Sizing'!$C$31</definedName>
    <definedName name="MIN_CORES">#REF!</definedName>
    <definedName name="MIN_RAM" localSheetId="1">'NIQ Sizing'!$D$31</definedName>
    <definedName name="MIN_RAM">#REF!</definedName>
    <definedName name="RAW_RETENTION_DAYS" localSheetId="1">'NIQ Sizing'!$C$90</definedName>
    <definedName name="RAW_RETENTION_DAYS">#REF!</definedName>
    <definedName name="SYSTEM_SIZE" localSheetId="1">'NIQ Sizing'!$C$88</definedName>
    <definedName name="SYSTEM_SIZE">#REF!</definedName>
    <definedName name="TOTAL_FILERS" localSheetId="1">'NIQ Sizing'!$K$20</definedName>
    <definedName name="TOTAL_FILERS">#REF!</definedName>
    <definedName name="TOTAL_FILES" localSheetId="1">'NIQ Sizing'!$C$86</definedName>
    <definedName name="TOTAL_FILES">#REF!</definedName>
    <definedName name="TOTAL_VOLUMES" localSheetId="1">'NIQ Sizing'!$H$20</definedName>
    <definedName name="TOTAL_VOLUM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1" i="4" l="1"/>
  <c r="C42" i="4" s="1"/>
  <c r="M14" i="4"/>
  <c r="C63" i="4"/>
  <c r="K20" i="4"/>
  <c r="G20" i="4"/>
  <c r="F20" i="4"/>
  <c r="E20" i="4"/>
  <c r="D20" i="4"/>
  <c r="M19" i="4"/>
  <c r="H19" i="4"/>
  <c r="M18" i="4"/>
  <c r="H18" i="4"/>
  <c r="M17" i="4"/>
  <c r="H17" i="4"/>
  <c r="M16" i="4"/>
  <c r="H16" i="4"/>
  <c r="M15" i="4"/>
  <c r="H15" i="4"/>
  <c r="H14" i="4"/>
  <c r="M13" i="4"/>
  <c r="H13" i="4"/>
  <c r="M12" i="4"/>
  <c r="H12" i="4"/>
  <c r="M11" i="4"/>
  <c r="H11" i="4"/>
  <c r="M10" i="4"/>
  <c r="H10" i="4"/>
  <c r="M9" i="4"/>
  <c r="H9" i="4"/>
  <c r="M8" i="4"/>
  <c r="H8" i="4"/>
  <c r="M7" i="4"/>
  <c r="H7" i="4"/>
  <c r="C87" i="4" s="1"/>
  <c r="C86" i="4" l="1"/>
  <c r="C88" i="4" s="1"/>
  <c r="H20" i="4"/>
  <c r="M20" i="4"/>
  <c r="C93" i="4" s="1"/>
  <c r="C41" i="4"/>
  <c r="C47" i="4"/>
  <c r="C22" i="4" l="1"/>
  <c r="C57" i="4"/>
  <c r="C43" i="4"/>
  <c r="C52" i="4"/>
  <c r="C44" i="4"/>
  <c r="C49" i="4"/>
  <c r="C45" i="4"/>
  <c r="C60" i="4"/>
  <c r="C46" i="4"/>
  <c r="E40" i="4"/>
  <c r="C48" i="4" a="1"/>
  <c r="C48" i="4" s="1"/>
  <c r="C29" i="4"/>
  <c r="C31" i="4" s="1"/>
  <c r="C55" i="4" l="1"/>
  <c r="C58" i="4"/>
  <c r="C51" i="4"/>
  <c r="C54" i="4"/>
  <c r="C59" i="4"/>
  <c r="C50" i="4"/>
  <c r="C62" i="4"/>
  <c r="C40" i="4"/>
  <c r="D40" i="4"/>
  <c r="C61" i="4"/>
  <c r="C53" i="4"/>
  <c r="C56" i="4"/>
  <c r="D28" i="4"/>
  <c r="D31" i="4" s="1"/>
  <c r="D32" i="4" s="1"/>
  <c r="C64" i="4" l="1"/>
  <c r="C65" i="4" s="1"/>
  <c r="C66" i="4" s="1"/>
  <c r="C32" i="4"/>
  <c r="C35" i="4" l="1"/>
  <c r="D35" i="4" a="1"/>
  <c r="D35" i="4" s="1"/>
  <c r="E66" i="4"/>
  <c r="D66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<sst xmlns="http://schemas.openxmlformats.org/spreadsheetml/2006/main" count="123" uniqueCount="110">
  <si>
    <t>Instructions for Nasuni IQ (NIQ) Sizing Tool Ver.1</t>
  </si>
  <si>
    <t>Note: You must download this sizing tool (Excel file) to your local computer before using it.</t>
  </si>
  <si>
    <t>Click Here for Full Sizing Tool Instructions</t>
  </si>
  <si>
    <t>Enter information only in the light blue cells.</t>
  </si>
  <si>
    <t>Do not enter information in any other cells.</t>
  </si>
  <si>
    <t>Sizing recommendations appear in the green cells.</t>
  </si>
  <si>
    <t>Do not insert or delete any rows or columns, as this may interfere with the logic of the tool.</t>
  </si>
  <si>
    <t>If you expect any volumes to decrease in size, enter their information in the ‘&lt; 5%’ column.</t>
  </si>
  <si>
    <t>VOLUMES</t>
  </si>
  <si>
    <t>NEAs</t>
  </si>
  <si>
    <t>Volumes</t>
  </si>
  <si>
    <t>Estimated % Monthly Change</t>
  </si>
  <si>
    <t>Total</t>
  </si>
  <si>
    <t>Users</t>
  </si>
  <si>
    <t>NEA Count</t>
  </si>
  <si>
    <t>Est Ev/s/NEA</t>
  </si>
  <si>
    <t>Est Ev/s</t>
  </si>
  <si>
    <t>Files + Dir / Volume</t>
  </si>
  <si>
    <t>&lt; 5%</t>
  </si>
  <si>
    <t>&lt; 10%</t>
  </si>
  <si>
    <t>&lt; 20%</t>
  </si>
  <si>
    <t>&gt; 20%</t>
  </si>
  <si>
    <t>Growth Factor</t>
  </si>
  <si>
    <t>Small</t>
  </si>
  <si>
    <t>Extra Small (&lt; 50 users)</t>
  </si>
  <si>
    <t>Medium</t>
  </si>
  <si>
    <t>Small (50-100)</t>
  </si>
  <si>
    <t>Large</t>
  </si>
  <si>
    <t>Medium (100-250)</t>
  </si>
  <si>
    <t>XL (custom sizes)</t>
  </si>
  <si>
    <t>Large (250-500)</t>
  </si>
  <si>
    <t>Extra Large (500-1000)</t>
  </si>
  <si>
    <t>Custom</t>
  </si>
  <si>
    <t>Total number of files &amp; dirs:</t>
  </si>
  <si>
    <t>Minimum VM Hardware Requirements</t>
  </si>
  <si>
    <t>vCPUs</t>
  </si>
  <si>
    <t>Memory</t>
  </si>
  <si>
    <t>Core Nasuni (Min)</t>
  </si>
  <si>
    <t>FSMS Scan</t>
  </si>
  <si>
    <t>FSMS Agg</t>
  </si>
  <si>
    <t>FSEP</t>
  </si>
  <si>
    <t>FSAGG</t>
  </si>
  <si>
    <t>Total Minimum</t>
  </si>
  <si>
    <t>Recommended</t>
  </si>
  <si>
    <t>Platform</t>
  </si>
  <si>
    <t>Azure</t>
  </si>
  <si>
    <t>AWS</t>
  </si>
  <si>
    <t>GCP</t>
  </si>
  <si>
    <t>ESX</t>
  </si>
  <si>
    <t>Nutanix</t>
  </si>
  <si>
    <t>Hyper-V</t>
  </si>
  <si>
    <t>VM Size suggestion</t>
  </si>
  <si>
    <t>n2d custom</t>
  </si>
  <si>
    <t>Guide</t>
  </si>
  <si>
    <t>Minimum Disk Requirements</t>
  </si>
  <si>
    <t>Notes</t>
  </si>
  <si>
    <t>Size</t>
  </si>
  <si>
    <t>MB/s</t>
  </si>
  <si>
    <t>IOPS</t>
  </si>
  <si>
    <t>Nasuni CoW</t>
  </si>
  <si>
    <t>64GB</t>
  </si>
  <si>
    <t xml:space="preserve">  • On Azure, all disks are Premium SSD for performance reasons (use Premium SSD v2 where available).</t>
  </si>
  <si>
    <t>Nasuni Cache</t>
  </si>
  <si>
    <t xml:space="preserve">  • On Azure, for 4TB disks, use 4095 GB in order to benefit from host caching.</t>
  </si>
  <si>
    <t>fsms: directory_entry</t>
  </si>
  <si>
    <t>fsms: directory_relationship</t>
  </si>
  <si>
    <t>fsms: directory_scan</t>
  </si>
  <si>
    <t>fsms: chargeback</t>
  </si>
  <si>
    <t>fsms: gfl</t>
  </si>
  <si>
    <t>fsms: first_handles</t>
  </si>
  <si>
    <t>fsms: latest_access</t>
  </si>
  <si>
    <t>fsep: audit_events</t>
  </si>
  <si>
    <t>fsagg:audit_events_agg_category</t>
  </si>
  <si>
    <t>fsagg:audit_events_agg_directory</t>
  </si>
  <si>
    <t>fsagg:audit_events_agg_directory_user_access</t>
  </si>
  <si>
    <t>fsagg:audit_events_agg_event_type</t>
  </si>
  <si>
    <t>fsagg:audit_events_agg_extension</t>
  </si>
  <si>
    <t>fsagg:audit_events_agg_group</t>
  </si>
  <si>
    <t>fsagg:audit_events_agg_group_user_category</t>
  </si>
  <si>
    <t>fsagg:audit_events_agg_group_user_event_type</t>
  </si>
  <si>
    <t>fsagg:audit_events_agg_group_user_extension</t>
  </si>
  <si>
    <t>fsagg:audit_events_agg_group_user</t>
  </si>
  <si>
    <t>fsagg:audit_events_agg_ip</t>
  </si>
  <si>
    <t>fsagg:audit_events_agg_total</t>
  </si>
  <si>
    <t>fsagg:audit_events_agg_user</t>
  </si>
  <si>
    <t>fsagg:audit_events_daily_agg_directory_user_access</t>
  </si>
  <si>
    <t>Rest of database</t>
  </si>
  <si>
    <t>Total expected</t>
  </si>
  <si>
    <t>Overhead</t>
  </si>
  <si>
    <t xml:space="preserve">  • On AWS EC2, only use EBS-Only virtual machines</t>
  </si>
  <si>
    <t xml:space="preserve">  • On AWS EC2, for best performance use Provisioned IOPS SSD (io2) for high-intensity I/O</t>
  </si>
  <si>
    <t xml:space="preserve">  • On GCP an N2D Series 'Custom' machine type should be selected (see sizing tool guide and install guide for more details).</t>
  </si>
  <si>
    <t xml:space="preserve">  • On GCP, for data disks, use 'SSD persistent disk' type (see sizing tool guide and install guide for more details).</t>
  </si>
  <si>
    <t>Cell Color Key</t>
  </si>
  <si>
    <t>Description</t>
  </si>
  <si>
    <t>Within operational capability. The system has been verified to work within this operational range.</t>
  </si>
  <si>
    <t>Yet to be confirmed opertional ranges. The system has yet to be verified to work with these operational values.</t>
  </si>
  <si>
    <t>Beyond the operational capabilities of the system. Please adjust sizing tool input figures to bring the operational range back within operational capability.</t>
  </si>
  <si>
    <t>Editable input field. Enter input values here.</t>
  </si>
  <si>
    <t>Total number of files</t>
  </si>
  <si>
    <t>Largest Volume</t>
  </si>
  <si>
    <t>System Size</t>
  </si>
  <si>
    <t>Aggregation retention (days)</t>
  </si>
  <si>
    <t>RAW retention (days)</t>
  </si>
  <si>
    <t>Adjusted Files</t>
  </si>
  <si>
    <t>Database space headroom</t>
  </si>
  <si>
    <t>Adjusted users / agg interval</t>
  </si>
  <si>
    <t>Bytes per event</t>
  </si>
  <si>
    <t xml:space="preserve">  • Follow the Nasuni File IQ installation guide to add the FIQ database disk after the first boot wizard.</t>
  </si>
  <si>
    <t>FIQ DB Disk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</si>
</sst>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"/>
    <numFmt numFmtId="165" formatCode="#,##0&quot;TB&quot;"/>
    <numFmt numFmtId="166" formatCode="0.0"/>
    <numFmt numFmtId="167" formatCode="#,###&quot;GB&quot;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8"/>
      <color theme="0"/>
      <name val="Calibri"/>
      <family val="2"/>
      <scheme val="minor"/>
    </font>
    <font>
      <b/>
      <sz val="32"/>
      <color theme="0"/>
      <name val="Calibri"/>
      <family val="2"/>
      <scheme val="minor"/>
    </font>
    <font>
      <b/>
      <i/>
      <sz val="16"/>
      <color rgb="FFFF0000"/>
      <name val="Calibri"/>
      <family val="2"/>
    </font>
    <font>
      <b/>
      <u/>
      <sz val="14"/>
      <color theme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8F8E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9696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4" tint="0.59996337778862885"/>
      </left>
      <right/>
      <top/>
      <bottom style="thin">
        <color theme="4" tint="0.59996337778862885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3" fontId="0" fillId="4" borderId="1" xfId="0" applyNumberForma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164" fontId="2" fillId="6" borderId="1" xfId="0" applyNumberFormat="1" applyFont="1" applyFill="1" applyBorder="1" applyAlignment="1">
      <alignment vertical="center"/>
    </xf>
    <xf numFmtId="164" fontId="2" fillId="6" borderId="1" xfId="0" applyNumberFormat="1" applyFont="1" applyFill="1" applyBorder="1" applyAlignment="1">
      <alignment horizontal="right" vertical="center"/>
    </xf>
    <xf numFmtId="165" fontId="2" fillId="6" borderId="1" xfId="0" applyNumberFormat="1" applyFont="1" applyFill="1" applyBorder="1" applyAlignment="1">
      <alignment horizontal="right" vertical="center"/>
    </xf>
    <xf numFmtId="0" fontId="2" fillId="6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164" fontId="4" fillId="4" borderId="0" xfId="0" applyNumberFormat="1" applyFont="1" applyFill="1" applyAlignment="1">
      <alignment vertical="center"/>
    </xf>
    <xf numFmtId="164" fontId="4" fillId="4" borderId="0" xfId="0" applyNumberFormat="1" applyFont="1" applyFill="1" applyAlignment="1">
      <alignment horizontal="right" vertical="center"/>
    </xf>
    <xf numFmtId="9" fontId="4" fillId="4" borderId="0" xfId="0" applyNumberFormat="1" applyFont="1" applyFill="1" applyAlignment="1">
      <alignment vertical="center"/>
    </xf>
    <xf numFmtId="166" fontId="0" fillId="4" borderId="1" xfId="0" applyNumberFormat="1" applyFill="1" applyBorder="1" applyAlignment="1">
      <alignment vertical="center"/>
    </xf>
    <xf numFmtId="1" fontId="0" fillId="4" borderId="1" xfId="0" applyNumberFormat="1" applyFill="1" applyBorder="1" applyAlignment="1">
      <alignment vertical="center"/>
    </xf>
    <xf numFmtId="164" fontId="0" fillId="3" borderId="1" xfId="0" applyNumberFormat="1" applyFill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167" fontId="2" fillId="6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166" fontId="9" fillId="6" borderId="1" xfId="0" applyNumberFormat="1" applyFont="1" applyFill="1" applyBorder="1" applyAlignment="1">
      <alignment horizontal="center" vertical="center"/>
    </xf>
    <xf numFmtId="0" fontId="11" fillId="0" borderId="0" xfId="1"/>
    <xf numFmtId="166" fontId="12" fillId="6" borderId="1" xfId="1" applyNumberFormat="1" applyFont="1" applyFill="1" applyBorder="1" applyAlignment="1">
      <alignment horizontal="center" vertical="center"/>
    </xf>
    <xf numFmtId="0" fontId="15" fillId="0" borderId="0" xfId="1" applyFont="1"/>
    <xf numFmtId="0" fontId="0" fillId="5" borderId="10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0" fillId="7" borderId="0" xfId="0" applyFill="1" applyAlignment="1">
      <alignment vertical="center"/>
    </xf>
    <xf numFmtId="0" fontId="10" fillId="7" borderId="0" xfId="0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" fillId="7" borderId="0" xfId="0" applyFont="1" applyFill="1" applyAlignment="1">
      <alignment vertical="center"/>
    </xf>
    <xf numFmtId="0" fontId="0" fillId="4" borderId="15" xfId="0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0" fontId="0" fillId="10" borderId="15" xfId="0" applyFill="1" applyBorder="1" applyAlignment="1">
      <alignment vertical="center"/>
    </xf>
    <xf numFmtId="0" fontId="0" fillId="9" borderId="15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3" fontId="5" fillId="8" borderId="0" xfId="0" applyNumberFormat="1" applyFont="1" applyFill="1" applyAlignment="1">
      <alignment horizontal="left" vertical="center"/>
    </xf>
    <xf numFmtId="0" fontId="13" fillId="6" borderId="0" xfId="0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left" vertical="center"/>
    </xf>
    <xf numFmtId="3" fontId="16" fillId="7" borderId="0" xfId="0" applyNumberFormat="1" applyFont="1" applyFill="1" applyAlignment="1">
      <alignment horizontal="left" vertical="center"/>
    </xf>
    <xf numFmtId="165" fontId="6" fillId="6" borderId="0" xfId="0" applyNumberFormat="1" applyFont="1" applyFill="1" applyAlignment="1">
      <alignment horizontal="left" vertical="center"/>
    </xf>
    <xf numFmtId="0" fontId="14" fillId="0" borderId="0" xfId="0" applyFont="1"/>
    <xf numFmtId="0" fontId="15" fillId="0" borderId="0" xfId="1" applyFont="1" applyAlignment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" formatCode="0"/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EB9C"/>
      <color rgb="FFEB9696"/>
      <color rgb="FFF8F8E6"/>
      <color rgb="FFFBFFE8"/>
      <color rgb="FFF0C2C1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142875</xdr:colOff>
      <xdr:row>0</xdr:row>
      <xdr:rowOff>85725</xdr:rowOff>
    </xdr:from>
    <xdr:to>
      <xdr:col>15</xdr:col>
      <xdr:colOff>438150</xdr:colOff>
      <xdr:row>22</xdr:row>
      <xdr:rowOff>171450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75E6AB9-7CA5-66BF-CDD2-C4AE44023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1350" y="85725"/>
          <a:ext cx="3648075" cy="548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.link/Nasuni_IQ_Sizing_Tool_Instruction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.link/Nasuni_IQ_Sizing_Tool_Instructions" TargetMode="External"/><Relationship Id="rId2" Type="http://schemas.openxmlformats.org/officeDocument/2006/relationships/hyperlink" Target="https://b.link/Nasuni_IQ_Sizing_Tool_Instructions" TargetMode="External"/><Relationship Id="rId1" Type="http://schemas.openxmlformats.org/officeDocument/2006/relationships/hyperlink" Target="https://b.link/Nasuni_IQ_Sizing_Tool_Instructions" TargetMode="External"/><Relationship Id="rId4" Type="http://schemas.openxmlformats.org/officeDocument/2006/relationships/hyperlink" Target="https://b.link/Nasuni_IQ_Sizing_Tool_Instruc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11B39-7FA5-D346-A1D2-5A100C8A2CEC}">
  <dimension ref="A1:K15"/>
  <sheetViews>
    <sheetView showGridLines="0" showRowColHeaders="0" workbookViewId="0">
      <selection activeCell="B8" sqref="B8:J8"/>
    </sheetView>
  </sheetViews>
  <sheetFormatPr defaultColWidth="11" defaultRowHeight="15.75" x14ac:dyDescent="0.25"/>
  <cols>
    <col min="10" max="10" width="29.875" customWidth="1"/>
  </cols>
  <sheetData>
    <row r="1" spans="1:11" ht="53.25" customHeight="1" x14ac:dyDescent="0.25">
      <c r="A1" s="12"/>
      <c r="B1" s="42" t="s">
        <v>0</v>
      </c>
      <c r="C1" s="42"/>
      <c r="D1" s="42"/>
      <c r="E1" s="42"/>
      <c r="F1" s="42"/>
      <c r="G1" s="42"/>
      <c r="H1" s="42"/>
      <c r="I1" s="42"/>
      <c r="J1" s="42"/>
      <c r="K1" s="13"/>
    </row>
    <row r="3" spans="1:11" ht="21" x14ac:dyDescent="0.35">
      <c r="B3" s="46" t="s">
        <v>1</v>
      </c>
      <c r="C3" s="46"/>
      <c r="D3" s="46"/>
      <c r="E3" s="46"/>
      <c r="F3" s="46"/>
      <c r="G3" s="46"/>
      <c r="H3" s="46"/>
      <c r="I3" s="46"/>
      <c r="J3" s="46"/>
    </row>
    <row r="5" spans="1:11" ht="21" customHeight="1" x14ac:dyDescent="0.3">
      <c r="B5" s="47" t="s">
        <v>2</v>
      </c>
      <c r="C5" s="47"/>
      <c r="D5" s="47"/>
      <c r="E5" s="47"/>
      <c r="F5" s="47"/>
      <c r="G5" s="47"/>
      <c r="H5" s="47"/>
    </row>
    <row r="6" spans="1:11" ht="21" customHeight="1" x14ac:dyDescent="0.3">
      <c r="B6" s="26"/>
      <c r="C6" s="26"/>
      <c r="D6" s="26"/>
      <c r="E6" s="26"/>
      <c r="F6" s="26"/>
      <c r="G6" s="26"/>
      <c r="H6" s="26"/>
    </row>
    <row r="8" spans="1:11" ht="21" x14ac:dyDescent="0.25">
      <c r="B8" s="43" t="s">
        <v>3</v>
      </c>
      <c r="C8" s="43"/>
      <c r="D8" s="43"/>
      <c r="E8" s="43"/>
      <c r="F8" s="43"/>
      <c r="G8" s="43"/>
      <c r="H8" s="43"/>
      <c r="I8" s="43"/>
      <c r="J8" s="43"/>
    </row>
    <row r="9" spans="1:11" ht="21" x14ac:dyDescent="0.25">
      <c r="B9" s="44" t="s">
        <v>4</v>
      </c>
      <c r="C9" s="44"/>
      <c r="D9" s="44"/>
      <c r="E9" s="44"/>
      <c r="F9" s="44"/>
      <c r="G9" s="44"/>
      <c r="H9" s="44"/>
      <c r="I9" s="44"/>
      <c r="J9" s="44"/>
    </row>
    <row r="10" spans="1:11" ht="21" x14ac:dyDescent="0.25">
      <c r="B10" s="45" t="s">
        <v>5</v>
      </c>
      <c r="C10" s="45"/>
      <c r="D10" s="45"/>
      <c r="E10" s="45"/>
      <c r="F10" s="45"/>
      <c r="G10" s="45"/>
      <c r="H10" s="45"/>
      <c r="I10" s="45"/>
      <c r="J10" s="45"/>
    </row>
    <row r="12" spans="1:11" ht="21" x14ac:dyDescent="0.25">
      <c r="B12" s="41" t="s">
        <v>6</v>
      </c>
      <c r="C12" s="41"/>
      <c r="D12" s="41"/>
      <c r="E12" s="41"/>
      <c r="F12" s="41"/>
      <c r="G12" s="41"/>
      <c r="H12" s="41"/>
      <c r="I12" s="41"/>
      <c r="J12" s="41"/>
    </row>
    <row r="13" spans="1:11" ht="21" x14ac:dyDescent="0.25">
      <c r="B13" s="41" t="s">
        <v>7</v>
      </c>
      <c r="C13" s="41"/>
      <c r="D13" s="41"/>
      <c r="E13" s="41"/>
      <c r="F13" s="41"/>
      <c r="G13" s="41"/>
      <c r="H13" s="41"/>
      <c r="I13" s="41"/>
      <c r="J13" s="41"/>
    </row>
    <row r="15" spans="1:11" x14ac:dyDescent="0.25">
      <c r="E15" s="24"/>
    </row>
  </sheetData>
  <mergeCells count="8">
    <mergeCell ref="B13:J13"/>
    <mergeCell ref="B12:J12"/>
    <mergeCell ref="B1:J1"/>
    <mergeCell ref="B8:J8"/>
    <mergeCell ref="B9:J9"/>
    <mergeCell ref="B10:J10"/>
    <mergeCell ref="B3:J3"/>
    <mergeCell ref="B5:H5"/>
  </mergeCells>
  <hyperlinks>
    <hyperlink ref="B5" r:id="rId1" display="Click Here for Sizing Tool Instructions" xr:uid="{CAFE3D28-3B21-414D-988C-0852C79D1279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7724D-44E5-E94D-9219-552CEE1C7E7A}">
  <dimension ref="A2:Q94"/>
  <sheetViews>
    <sheetView showGridLines="0" tabSelected="1" zoomScaleNormal="100" workbookViewId="0">
      <selection activeCell="J32" sqref="J32"/>
    </sheetView>
  </sheetViews>
  <sheetFormatPr defaultColWidth="10.875" defaultRowHeight="15.75" x14ac:dyDescent="0.25"/>
  <cols>
    <col min="1" max="1" width="10.875" style="1"/>
    <col min="2" max="2" width="24.125" style="1" customWidth="1"/>
    <col min="3" max="4" width="16.625" style="1" customWidth="1"/>
    <col min="5" max="5" width="16.125" style="1" customWidth="1"/>
    <col min="6" max="6" width="11.875" style="1" customWidth="1"/>
    <col min="7" max="7" width="13.5" style="1" customWidth="1"/>
    <col min="8" max="8" width="10.875" style="1"/>
    <col min="9" max="9" width="13" style="1" customWidth="1"/>
    <col min="10" max="10" width="27.875" style="1" customWidth="1"/>
    <col min="11" max="16384" width="10.875" style="1"/>
  </cols>
  <sheetData>
    <row r="2" spans="2:13" ht="23.25" x14ac:dyDescent="0.25">
      <c r="B2" s="53" t="s">
        <v>8</v>
      </c>
      <c r="C2" s="54"/>
      <c r="D2" s="54"/>
      <c r="E2" s="54"/>
      <c r="F2" s="54"/>
      <c r="G2" s="54"/>
      <c r="H2" s="55"/>
      <c r="J2" s="53" t="s">
        <v>9</v>
      </c>
      <c r="K2" s="54"/>
      <c r="L2" s="54"/>
      <c r="M2" s="55"/>
    </row>
    <row r="4" spans="2:13" ht="15.95" customHeight="1" x14ac:dyDescent="0.25">
      <c r="B4" s="56" t="s">
        <v>10</v>
      </c>
      <c r="C4" s="2"/>
      <c r="D4" s="57" t="s">
        <v>11</v>
      </c>
      <c r="E4" s="57"/>
      <c r="F4" s="57"/>
      <c r="G4" s="57"/>
      <c r="H4" s="57" t="s">
        <v>12</v>
      </c>
      <c r="J4" s="56" t="s">
        <v>13</v>
      </c>
      <c r="K4" s="58" t="s">
        <v>14</v>
      </c>
      <c r="L4" s="59" t="s">
        <v>15</v>
      </c>
      <c r="M4" s="59" t="s">
        <v>16</v>
      </c>
    </row>
    <row r="5" spans="2:13" ht="15.95" customHeight="1" x14ac:dyDescent="0.25">
      <c r="B5" s="56"/>
      <c r="C5" s="2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7"/>
      <c r="J5" s="56"/>
      <c r="K5" s="57"/>
      <c r="L5" s="60"/>
      <c r="M5" s="60"/>
    </row>
    <row r="6" spans="2:13" ht="15.95" hidden="1" customHeight="1" x14ac:dyDescent="0.25">
      <c r="B6" s="2" t="s">
        <v>22</v>
      </c>
      <c r="C6" s="4"/>
      <c r="D6" s="4">
        <v>2</v>
      </c>
      <c r="E6" s="4">
        <v>4</v>
      </c>
      <c r="F6" s="4">
        <v>8</v>
      </c>
      <c r="G6" s="4">
        <v>16</v>
      </c>
      <c r="H6" s="4"/>
      <c r="J6" s="2" t="s">
        <v>22</v>
      </c>
      <c r="K6" s="4"/>
      <c r="L6" s="4"/>
    </row>
    <row r="7" spans="2:13" x14ac:dyDescent="0.25">
      <c r="B7" s="2" t="s">
        <v>23</v>
      </c>
      <c r="C7" s="3">
        <v>1000000</v>
      </c>
      <c r="D7" s="19">
        <v>1</v>
      </c>
      <c r="E7" s="19"/>
      <c r="F7" s="19"/>
      <c r="G7" s="19"/>
      <c r="H7" s="3">
        <f>SUM(D7:G7)</f>
        <v>1</v>
      </c>
      <c r="J7" s="2" t="s">
        <v>24</v>
      </c>
      <c r="K7" s="19">
        <v>1</v>
      </c>
      <c r="L7" s="3">
        <v>10</v>
      </c>
      <c r="M7" s="3">
        <f>L7*K7</f>
        <v>10</v>
      </c>
    </row>
    <row r="8" spans="2:13" x14ac:dyDescent="0.25">
      <c r="B8" s="2" t="s">
        <v>25</v>
      </c>
      <c r="C8" s="3">
        <v>10000000</v>
      </c>
      <c r="D8" s="19"/>
      <c r="E8" s="19"/>
      <c r="F8" s="19"/>
      <c r="G8" s="19"/>
      <c r="H8" s="3">
        <f t="shared" ref="H8:H19" si="0">SUM(D8:G8)</f>
        <v>0</v>
      </c>
      <c r="J8" s="2" t="s">
        <v>26</v>
      </c>
      <c r="K8" s="19"/>
      <c r="L8" s="3">
        <v>20</v>
      </c>
      <c r="M8" s="3">
        <f t="shared" ref="M8:M19" si="1">L8*K8</f>
        <v>0</v>
      </c>
    </row>
    <row r="9" spans="2:13" x14ac:dyDescent="0.25">
      <c r="B9" s="2" t="s">
        <v>27</v>
      </c>
      <c r="C9" s="3">
        <v>50000000</v>
      </c>
      <c r="D9" s="19"/>
      <c r="E9" s="19"/>
      <c r="F9" s="19"/>
      <c r="G9" s="19"/>
      <c r="H9" s="3">
        <f t="shared" si="0"/>
        <v>0</v>
      </c>
      <c r="J9" s="2" t="s">
        <v>28</v>
      </c>
      <c r="K9" s="19"/>
      <c r="L9" s="3">
        <v>50</v>
      </c>
      <c r="M9" s="3">
        <f t="shared" si="1"/>
        <v>0</v>
      </c>
    </row>
    <row r="10" spans="2:13" ht="15.95" customHeight="1" x14ac:dyDescent="0.25">
      <c r="B10" s="50" t="s">
        <v>29</v>
      </c>
      <c r="C10" s="19">
        <v>75000000</v>
      </c>
      <c r="D10" s="19"/>
      <c r="E10" s="19"/>
      <c r="F10" s="19"/>
      <c r="G10" s="19"/>
      <c r="H10" s="3">
        <f t="shared" si="0"/>
        <v>0</v>
      </c>
      <c r="J10" s="2" t="s">
        <v>30</v>
      </c>
      <c r="K10" s="19"/>
      <c r="L10" s="3">
        <v>100</v>
      </c>
      <c r="M10" s="3">
        <f t="shared" si="1"/>
        <v>0</v>
      </c>
    </row>
    <row r="11" spans="2:13" ht="15.95" customHeight="1" x14ac:dyDescent="0.25">
      <c r="B11" s="51"/>
      <c r="C11" s="19">
        <v>100000000</v>
      </c>
      <c r="D11" s="19"/>
      <c r="E11" s="19"/>
      <c r="F11" s="19"/>
      <c r="G11" s="19"/>
      <c r="H11" s="3">
        <f t="shared" si="0"/>
        <v>0</v>
      </c>
      <c r="J11" s="2" t="s">
        <v>31</v>
      </c>
      <c r="K11" s="19"/>
      <c r="L11" s="3">
        <v>200</v>
      </c>
      <c r="M11" s="3">
        <f t="shared" si="1"/>
        <v>0</v>
      </c>
    </row>
    <row r="12" spans="2:13" ht="15.95" customHeight="1" x14ac:dyDescent="0.25">
      <c r="B12" s="51"/>
      <c r="C12" s="19"/>
      <c r="D12" s="19"/>
      <c r="E12" s="19"/>
      <c r="F12" s="19"/>
      <c r="G12" s="19"/>
      <c r="H12" s="3">
        <f t="shared" si="0"/>
        <v>0</v>
      </c>
      <c r="J12" s="2" t="s">
        <v>32</v>
      </c>
      <c r="K12" s="19"/>
      <c r="L12" s="19"/>
      <c r="M12" s="3">
        <f t="shared" si="1"/>
        <v>0</v>
      </c>
    </row>
    <row r="13" spans="2:13" ht="15.95" customHeight="1" x14ac:dyDescent="0.25">
      <c r="B13" s="51"/>
      <c r="C13" s="19"/>
      <c r="D13" s="19"/>
      <c r="E13" s="19"/>
      <c r="F13" s="19"/>
      <c r="G13" s="19"/>
      <c r="H13" s="3">
        <f t="shared" si="0"/>
        <v>0</v>
      </c>
      <c r="J13" s="2" t="s">
        <v>32</v>
      </c>
      <c r="K13" s="19"/>
      <c r="L13" s="19"/>
      <c r="M13" s="3">
        <f t="shared" si="1"/>
        <v>0</v>
      </c>
    </row>
    <row r="14" spans="2:13" ht="15.95" customHeight="1" x14ac:dyDescent="0.25">
      <c r="B14" s="51"/>
      <c r="C14" s="19"/>
      <c r="D14" s="19"/>
      <c r="E14" s="19"/>
      <c r="F14" s="19"/>
      <c r="G14" s="19"/>
      <c r="H14" s="3">
        <f t="shared" si="0"/>
        <v>0</v>
      </c>
      <c r="J14" s="2" t="s">
        <v>32</v>
      </c>
      <c r="K14" s="19"/>
      <c r="L14" s="19"/>
      <c r="M14" s="3">
        <f>L14*K14</f>
        <v>0</v>
      </c>
    </row>
    <row r="15" spans="2:13" ht="15.95" customHeight="1" x14ac:dyDescent="0.25">
      <c r="B15" s="51"/>
      <c r="C15" s="19"/>
      <c r="D15" s="19"/>
      <c r="E15" s="19"/>
      <c r="F15" s="19"/>
      <c r="G15" s="19"/>
      <c r="H15" s="3">
        <f t="shared" si="0"/>
        <v>0</v>
      </c>
      <c r="J15" s="2" t="s">
        <v>32</v>
      </c>
      <c r="K15" s="19"/>
      <c r="L15" s="19"/>
      <c r="M15" s="3">
        <f t="shared" si="1"/>
        <v>0</v>
      </c>
    </row>
    <row r="16" spans="2:13" ht="15.95" customHeight="1" x14ac:dyDescent="0.25">
      <c r="B16" s="51"/>
      <c r="C16" s="19"/>
      <c r="D16" s="19"/>
      <c r="E16" s="19"/>
      <c r="F16" s="19"/>
      <c r="G16" s="19"/>
      <c r="H16" s="3">
        <f t="shared" si="0"/>
        <v>0</v>
      </c>
      <c r="J16" s="2" t="s">
        <v>32</v>
      </c>
      <c r="K16" s="19"/>
      <c r="L16" s="19"/>
      <c r="M16" s="3">
        <f t="shared" si="1"/>
        <v>0</v>
      </c>
    </row>
    <row r="17" spans="2:17" ht="15.95" customHeight="1" x14ac:dyDescent="0.25">
      <c r="B17" s="51"/>
      <c r="C17" s="19"/>
      <c r="D17" s="19"/>
      <c r="E17" s="19"/>
      <c r="F17" s="19"/>
      <c r="G17" s="19"/>
      <c r="H17" s="3">
        <f t="shared" si="0"/>
        <v>0</v>
      </c>
      <c r="J17" s="2" t="s">
        <v>32</v>
      </c>
      <c r="K17" s="19"/>
      <c r="L17" s="19"/>
      <c r="M17" s="3">
        <f t="shared" si="1"/>
        <v>0</v>
      </c>
    </row>
    <row r="18" spans="2:17" ht="15.95" customHeight="1" x14ac:dyDescent="0.25">
      <c r="B18" s="51"/>
      <c r="C18" s="19"/>
      <c r="D18" s="19"/>
      <c r="E18" s="19"/>
      <c r="F18" s="19"/>
      <c r="G18" s="19"/>
      <c r="H18" s="3">
        <f t="shared" si="0"/>
        <v>0</v>
      </c>
      <c r="J18" s="2" t="s">
        <v>32</v>
      </c>
      <c r="K18" s="19"/>
      <c r="L18" s="19"/>
      <c r="M18" s="3">
        <f t="shared" si="1"/>
        <v>0</v>
      </c>
    </row>
    <row r="19" spans="2:17" ht="15.95" customHeight="1" x14ac:dyDescent="0.25">
      <c r="B19" s="52"/>
      <c r="C19" s="19"/>
      <c r="D19" s="19"/>
      <c r="E19" s="19"/>
      <c r="F19" s="19"/>
      <c r="G19" s="19"/>
      <c r="H19" s="3">
        <f t="shared" si="0"/>
        <v>0</v>
      </c>
      <c r="J19" s="2" t="s">
        <v>32</v>
      </c>
      <c r="K19" s="19"/>
      <c r="L19" s="19"/>
      <c r="M19" s="3">
        <f t="shared" si="1"/>
        <v>0</v>
      </c>
    </row>
    <row r="20" spans="2:17" x14ac:dyDescent="0.25">
      <c r="B20" s="2" t="s">
        <v>12</v>
      </c>
      <c r="C20" s="4"/>
      <c r="D20" s="3">
        <f>SUM(D7:D19)</f>
        <v>1</v>
      </c>
      <c r="E20" s="3">
        <f t="shared" ref="E20:H20" si="2">SUM(E7:E19)</f>
        <v>0</v>
      </c>
      <c r="F20" s="3">
        <f t="shared" si="2"/>
        <v>0</v>
      </c>
      <c r="G20" s="3">
        <f t="shared" si="2"/>
        <v>0</v>
      </c>
      <c r="H20" s="3">
        <f t="shared" si="2"/>
        <v>1</v>
      </c>
      <c r="J20" s="2" t="s">
        <v>12</v>
      </c>
      <c r="K20" s="3">
        <f>SUM(K7:K19)</f>
        <v>1</v>
      </c>
      <c r="L20" s="3"/>
      <c r="M20" s="3">
        <f>SUM(M7:M19)</f>
        <v>10</v>
      </c>
    </row>
    <row r="22" spans="2:17" x14ac:dyDescent="0.25">
      <c r="B22" s="2" t="s">
        <v>33</v>
      </c>
      <c r="C22" s="3">
        <f>TOTAL_FILES</f>
        <v>1000000</v>
      </c>
      <c r="G22" s="35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2:17" x14ac:dyDescent="0.25"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2:17" x14ac:dyDescent="0.25">
      <c r="B24" s="48" t="s">
        <v>34</v>
      </c>
      <c r="C24" s="49"/>
      <c r="D24" s="49"/>
      <c r="E24" s="49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2:17" x14ac:dyDescent="0.25">
      <c r="B25" s="2"/>
      <c r="C25" s="2" t="s">
        <v>35</v>
      </c>
      <c r="D25" s="2" t="s">
        <v>36</v>
      </c>
      <c r="E25" s="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2:17" hidden="1" x14ac:dyDescent="0.25">
      <c r="B26" s="2" t="s">
        <v>37</v>
      </c>
      <c r="C26" s="3">
        <v>8</v>
      </c>
      <c r="D26" s="3">
        <v>8</v>
      </c>
      <c r="E26" s="3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2:17" hidden="1" x14ac:dyDescent="0.25">
      <c r="B27" s="2" t="s">
        <v>38</v>
      </c>
      <c r="C27" s="3">
        <v>5</v>
      </c>
      <c r="D27" s="3">
        <v>8</v>
      </c>
      <c r="E27" s="3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2:17" hidden="1" x14ac:dyDescent="0.25">
      <c r="B28" s="2" t="s">
        <v>39</v>
      </c>
      <c r="C28" s="3">
        <v>4</v>
      </c>
      <c r="D28" s="3">
        <f>IF(SYSTEM_SIZE="SMALL",20,IF(SYSTEM_SIZE="MEDIUM",52,116))</f>
        <v>20</v>
      </c>
      <c r="E28" s="3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2:17" hidden="1" x14ac:dyDescent="0.25">
      <c r="B29" s="2" t="s">
        <v>40</v>
      </c>
      <c r="C29" s="17">
        <f>CEILING(M20/740,1)</f>
        <v>1</v>
      </c>
      <c r="D29" s="3">
        <v>2</v>
      </c>
      <c r="E29" s="3"/>
      <c r="F29" s="20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7" hidden="1" x14ac:dyDescent="0.25">
      <c r="B30" s="2" t="s">
        <v>41</v>
      </c>
      <c r="C30" s="18">
        <v>1.5</v>
      </c>
      <c r="D30" s="3">
        <v>2</v>
      </c>
      <c r="E30" s="3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7" hidden="1" x14ac:dyDescent="0.25">
      <c r="B31" s="2" t="s">
        <v>42</v>
      </c>
      <c r="C31" s="3">
        <f>MAX(C26+MAX(C27:C28)+C29+C30,C29*2)</f>
        <v>15.5</v>
      </c>
      <c r="D31" s="3">
        <f>D26+MAX(D27:D28)+D29+D30</f>
        <v>32</v>
      </c>
      <c r="E31" s="3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2:17" x14ac:dyDescent="0.25">
      <c r="B32" s="2" t="s">
        <v>43</v>
      </c>
      <c r="C32" s="9">
        <f>MAX(POWER(2,LEN(DEC2BIN(MIN_CORES))),MIN_RAM/4)</f>
        <v>16</v>
      </c>
      <c r="D32" s="21">
        <f>POWER(2,LEN(DEC2BIN(MAX(MIN_CORES*2,MIN_RAM-1))))</f>
        <v>32</v>
      </c>
      <c r="E32" s="9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</row>
    <row r="33" spans="2:17" x14ac:dyDescent="0.25"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2:17" ht="23.25" x14ac:dyDescent="0.25">
      <c r="B34" s="2" t="s">
        <v>44</v>
      </c>
      <c r="C34" s="22" t="s">
        <v>45</v>
      </c>
      <c r="D34" s="22" t="s">
        <v>46</v>
      </c>
      <c r="E34" s="22" t="s">
        <v>47</v>
      </c>
      <c r="F34" s="22" t="s">
        <v>48</v>
      </c>
      <c r="G34" s="34" t="s">
        <v>49</v>
      </c>
      <c r="H34" s="34" t="s">
        <v>50</v>
      </c>
    </row>
    <row r="35" spans="2:17" ht="23.25" x14ac:dyDescent="0.25">
      <c r="B35" s="2" t="s">
        <v>51</v>
      </c>
      <c r="C35" s="23" t="str">
        <f>_xlfn.CONCAT("D",C32,IF(D32=C32*2,"l","a"),"s_v5")</f>
        <v>D16ls_v5</v>
      </c>
      <c r="D35" s="23" t="str" cm="1">
        <f t="array" ref="D35">IF(D32 = C32 * 2, "c5a.", "m5a.") &amp; _xlfn.SWITCH(C32, 2, "large", 4, "xlarge", 8, "2xlarge", 16, "4xlarge", 32, "8xlarge", 48, "12xlarge", 64, "16xlarge", 96, "24xlarge", "Undefined")</f>
        <v>c5a.4xlarge</v>
      </c>
      <c r="E35" s="25" t="s">
        <v>52</v>
      </c>
      <c r="F35" s="25" t="s">
        <v>53</v>
      </c>
      <c r="G35" s="25" t="s">
        <v>53</v>
      </c>
      <c r="H35" s="25" t="s">
        <v>53</v>
      </c>
    </row>
    <row r="37" spans="2:17" x14ac:dyDescent="0.25">
      <c r="B37" s="48" t="s">
        <v>54</v>
      </c>
      <c r="C37" s="49"/>
      <c r="D37" s="49"/>
      <c r="E37" s="49"/>
      <c r="G37" s="6" t="s">
        <v>55</v>
      </c>
      <c r="H37" s="7"/>
      <c r="I37" s="7"/>
      <c r="J37" s="7"/>
      <c r="K37" s="7"/>
      <c r="L37" s="7"/>
      <c r="M37" s="7"/>
      <c r="N37" s="7"/>
    </row>
    <row r="38" spans="2:17" x14ac:dyDescent="0.25">
      <c r="B38" s="2"/>
      <c r="C38" s="2" t="s">
        <v>56</v>
      </c>
      <c r="D38" s="2" t="s">
        <v>57</v>
      </c>
      <c r="E38" s="2" t="s">
        <v>58</v>
      </c>
      <c r="G38" s="8" t="s">
        <v>108</v>
      </c>
      <c r="H38" s="8"/>
      <c r="I38" s="8"/>
      <c r="J38" s="8"/>
      <c r="K38" s="8"/>
      <c r="L38" s="7"/>
      <c r="M38" s="7"/>
      <c r="N38" s="7"/>
    </row>
    <row r="39" spans="2:17" x14ac:dyDescent="0.25">
      <c r="B39" s="2" t="s">
        <v>59</v>
      </c>
      <c r="C39" s="10" t="s">
        <v>60</v>
      </c>
      <c r="D39" s="10">
        <v>150</v>
      </c>
      <c r="E39" s="10">
        <v>2300</v>
      </c>
      <c r="G39" s="8" t="s">
        <v>61</v>
      </c>
      <c r="H39" s="8"/>
      <c r="I39" s="8"/>
      <c r="J39" s="8"/>
      <c r="K39" s="8"/>
      <c r="L39" s="7"/>
      <c r="M39" s="7"/>
      <c r="N39" s="7"/>
    </row>
    <row r="40" spans="2:17" x14ac:dyDescent="0.25">
      <c r="B40" s="2" t="s">
        <v>62</v>
      </c>
      <c r="C40" s="10" t="str">
        <f>IF(SYSTEM_SIZE="SMALL","512GB",IF(SYSTEM_SIZE="MEDIUM","1TB","2TB"))</f>
        <v>512GB</v>
      </c>
      <c r="D40" s="9">
        <f>IF(SYSTEM_SIZE="SMALL",150,IF(SYSTEM_SIZE="MEDIUM",200,250))</f>
        <v>150</v>
      </c>
      <c r="E40" s="9">
        <f>IF(SYSTEM_SIZE="SMALL",2300,IF(SYSTEM_SIZE="MEDIUM",5000,7500))</f>
        <v>2300</v>
      </c>
      <c r="G40" s="8" t="s">
        <v>63</v>
      </c>
      <c r="H40" s="8"/>
      <c r="I40" s="8"/>
      <c r="J40" s="8"/>
      <c r="K40" s="8"/>
      <c r="L40" s="7"/>
      <c r="M40" s="7"/>
      <c r="N40" s="7"/>
    </row>
    <row r="41" spans="2:17" hidden="1" x14ac:dyDescent="0.25">
      <c r="B41" s="2" t="s">
        <v>64</v>
      </c>
      <c r="C41" s="10">
        <f>ADJUSTED_FILES * 512</f>
        <v>1024000000</v>
      </c>
      <c r="D41" s="9"/>
      <c r="E41" s="9"/>
    </row>
    <row r="42" spans="2:17" hidden="1" x14ac:dyDescent="0.25">
      <c r="B42" s="2" t="s">
        <v>65</v>
      </c>
      <c r="C42" s="10">
        <f>ADJUSTED_FILES * 512</f>
        <v>1024000000</v>
      </c>
      <c r="D42" s="9"/>
      <c r="E42" s="9"/>
    </row>
    <row r="43" spans="2:17" hidden="1" x14ac:dyDescent="0.25">
      <c r="B43" s="2" t="s">
        <v>66</v>
      </c>
      <c r="C43" s="10">
        <f>TOTAL_VOLUMES * 256 * 1024 * AGG_RETENTION_DAYS</f>
        <v>23592960</v>
      </c>
      <c r="D43" s="9"/>
      <c r="E43" s="9"/>
    </row>
    <row r="44" spans="2:17" hidden="1" x14ac:dyDescent="0.25">
      <c r="B44" s="2" t="s">
        <v>67</v>
      </c>
      <c r="C44" s="10">
        <f>TOTAL_VOLUMES * 256 * 1024</f>
        <v>262144</v>
      </c>
      <c r="D44" s="9"/>
      <c r="E44" s="9"/>
    </row>
    <row r="45" spans="2:17" hidden="1" x14ac:dyDescent="0.25">
      <c r="B45" s="2" t="s">
        <v>68</v>
      </c>
      <c r="C45" s="10">
        <f>TOTAL_VOLUMES * 256 * 1024</f>
        <v>262144</v>
      </c>
      <c r="D45" s="9"/>
      <c r="E45" s="9"/>
    </row>
    <row r="46" spans="2:17" hidden="1" x14ac:dyDescent="0.25">
      <c r="B46" s="2" t="s">
        <v>69</v>
      </c>
      <c r="C46" s="10">
        <f>TOTAL_FILES * 512</f>
        <v>512000000</v>
      </c>
      <c r="D46" s="9"/>
      <c r="E46" s="9"/>
    </row>
    <row r="47" spans="2:17" hidden="1" x14ac:dyDescent="0.25">
      <c r="B47" s="2" t="s">
        <v>70</v>
      </c>
      <c r="C47" s="10">
        <f>ADJUSTED_FILES * 120</f>
        <v>240000000</v>
      </c>
      <c r="D47" s="9"/>
      <c r="E47" s="9"/>
    </row>
    <row r="48" spans="2:17" hidden="1" x14ac:dyDescent="0.25">
      <c r="B48" s="2" t="s">
        <v>71</v>
      </c>
      <c r="C48" s="10" cm="1">
        <f t="array" ref="C48">512*M20*60*60*24* RAW_RETENTION_DAYS</f>
        <v>3096576000</v>
      </c>
      <c r="D48" s="9"/>
      <c r="E48" s="9"/>
    </row>
    <row r="49" spans="2:5" hidden="1" x14ac:dyDescent="0.25">
      <c r="B49" s="2" t="s">
        <v>72</v>
      </c>
      <c r="C49" s="10">
        <f>128*96*TOTAL_VOLUMES*TOTAL_FILERS*10*AGG_RETENTION_DAYS</f>
        <v>11059200</v>
      </c>
      <c r="D49" s="9"/>
      <c r="E49" s="9"/>
    </row>
    <row r="50" spans="2:5" hidden="1" x14ac:dyDescent="0.25">
      <c r="B50" s="2" t="s">
        <v>73</v>
      </c>
      <c r="C50" s="10">
        <f>300*96*TOTAL_VOLUMES*TOTAL_FILERS*ADJUSTED_USERS*4*AGG_RETENTION_DAYS</f>
        <v>10368000</v>
      </c>
      <c r="D50" s="9"/>
      <c r="E50" s="9"/>
    </row>
    <row r="51" spans="2:5" hidden="1" x14ac:dyDescent="0.25">
      <c r="B51" s="2" t="s">
        <v>74</v>
      </c>
      <c r="C51" s="10">
        <f>300*96*TOTAL_VOLUMES*TOTAL_FILERS*ADJUSTED_USERS*4*AGG_RETENTION_DAYS</f>
        <v>10368000</v>
      </c>
      <c r="D51" s="9"/>
      <c r="E51" s="9"/>
    </row>
    <row r="52" spans="2:5" hidden="1" x14ac:dyDescent="0.25">
      <c r="B52" s="2" t="s">
        <v>75</v>
      </c>
      <c r="C52" s="10">
        <f>128*96*TOTAL_VOLUMES*TOTAL_FILERS*10*AGG_RETENTION_DAYS</f>
        <v>11059200</v>
      </c>
      <c r="D52" s="9"/>
      <c r="E52" s="9"/>
    </row>
    <row r="53" spans="2:5" hidden="1" x14ac:dyDescent="0.25">
      <c r="B53" s="2" t="s">
        <v>76</v>
      </c>
      <c r="C53" s="10">
        <f>400*96*TOTAL_VOLUMES*TOTAL_FILERS*ADJUSTED_USERS*20*AGG_RETENTION_DAYS</f>
        <v>69120000</v>
      </c>
      <c r="D53" s="9"/>
      <c r="E53" s="9"/>
    </row>
    <row r="54" spans="2:5" hidden="1" x14ac:dyDescent="0.25">
      <c r="B54" s="2" t="s">
        <v>77</v>
      </c>
      <c r="C54" s="10">
        <f>300*96*TOTAL_VOLUMES*TOTAL_FILERS*ADJUSTED_USERS*AGG_RETENTION_DAYS</f>
        <v>2592000</v>
      </c>
      <c r="D54" s="9"/>
      <c r="E54" s="9"/>
    </row>
    <row r="55" spans="2:5" hidden="1" x14ac:dyDescent="0.25">
      <c r="B55" s="2" t="s">
        <v>78</v>
      </c>
      <c r="C55" s="10">
        <f>400*96*TOTAL_VOLUMES*TOTAL_FILERS*ADJUSTED_USERS*AGG_RETENTION_DAYS</f>
        <v>3456000</v>
      </c>
      <c r="D55" s="9"/>
      <c r="E55" s="9"/>
    </row>
    <row r="56" spans="2:5" hidden="1" x14ac:dyDescent="0.25">
      <c r="B56" s="2" t="s">
        <v>79</v>
      </c>
      <c r="C56" s="10">
        <f>400*96*TOTAL_VOLUMES*TOTAL_FILERS*ADJUSTED_USERS*AGG_RETENTION_DAYS</f>
        <v>3456000</v>
      </c>
      <c r="D56" s="9"/>
      <c r="E56" s="9"/>
    </row>
    <row r="57" spans="2:5" hidden="1" x14ac:dyDescent="0.25">
      <c r="B57" s="2" t="s">
        <v>80</v>
      </c>
      <c r="C57" s="10">
        <f>400*96*TOTAL_VOLUMES*TOTAL_FILERS*ADJUSTED_USERS*4*AGG_RETENTION_DAYS</f>
        <v>13824000</v>
      </c>
      <c r="D57" s="9"/>
      <c r="E57" s="9"/>
    </row>
    <row r="58" spans="2:5" hidden="1" x14ac:dyDescent="0.25">
      <c r="B58" s="2" t="s">
        <v>81</v>
      </c>
      <c r="C58" s="10">
        <f>400*96*TOTAL_VOLUMES*TOTAL_FILERS*ADJUSTED_USERS*AGG_RETENTION_DAYS</f>
        <v>3456000</v>
      </c>
      <c r="D58" s="9"/>
      <c r="E58" s="9"/>
    </row>
    <row r="59" spans="2:5" hidden="1" x14ac:dyDescent="0.25">
      <c r="B59" s="2" t="s">
        <v>82</v>
      </c>
      <c r="C59" s="10">
        <f>128*96*TOTAL_VOLUMES*TOTAL_FILERS*ADJUSTED_USERS*AGG_RETENTION_DAYS</f>
        <v>1105920</v>
      </c>
      <c r="D59" s="9"/>
      <c r="E59" s="9"/>
    </row>
    <row r="60" spans="2:5" hidden="1" x14ac:dyDescent="0.25">
      <c r="B60" s="2" t="s">
        <v>83</v>
      </c>
      <c r="C60" s="10">
        <f>150*96*TOTAL_VOLUMES*TOTAL_FILERS*AGG_RETENTION_DAYS</f>
        <v>1296000</v>
      </c>
      <c r="D60" s="9"/>
      <c r="E60" s="9"/>
    </row>
    <row r="61" spans="2:5" hidden="1" x14ac:dyDescent="0.25">
      <c r="B61" s="2" t="s">
        <v>84</v>
      </c>
      <c r="C61" s="10">
        <f>235*96*TOTAL_VOLUMES*TOTAL_FILERS*ADJUSTED_USERS*AGG_RETENTION_DAYS</f>
        <v>2030400</v>
      </c>
      <c r="D61" s="9"/>
      <c r="E61" s="9"/>
    </row>
    <row r="62" spans="2:5" hidden="1" x14ac:dyDescent="0.25">
      <c r="B62" s="2" t="s">
        <v>85</v>
      </c>
      <c r="C62" s="10">
        <f>300*96*TOTAL_VOLUMES*TOTAL_FILERS*ADJUSTED_USERS*4*AGG_RETENTION_DAYS</f>
        <v>10368000</v>
      </c>
      <c r="D62" s="9"/>
      <c r="E62" s="9"/>
    </row>
    <row r="63" spans="2:5" hidden="1" x14ac:dyDescent="0.25">
      <c r="B63" s="2" t="s">
        <v>86</v>
      </c>
      <c r="C63" s="10">
        <f>2 * 1024 * 1024 * 1024</f>
        <v>2147483648</v>
      </c>
      <c r="D63" s="9"/>
      <c r="E63" s="9"/>
    </row>
    <row r="64" spans="2:5" hidden="1" x14ac:dyDescent="0.25">
      <c r="B64" s="2" t="s">
        <v>87</v>
      </c>
      <c r="C64" s="10">
        <f>SUM(C41:C63)</f>
        <v>8221735616</v>
      </c>
      <c r="D64" s="9"/>
      <c r="E64" s="9"/>
    </row>
    <row r="65" spans="1:14" hidden="1" x14ac:dyDescent="0.25">
      <c r="B65" s="2" t="s">
        <v>88</v>
      </c>
      <c r="C65" s="10">
        <f>C64*DATABASE_HEADROOM</f>
        <v>3288694246.4000001</v>
      </c>
      <c r="D65" s="9"/>
      <c r="E65" s="9"/>
    </row>
    <row r="66" spans="1:14" x14ac:dyDescent="0.25">
      <c r="B66" s="2" t="s">
        <v>109</v>
      </c>
      <c r="C66" s="11">
        <f>MAX(1,CEILING((C64+C65) / 1024/1024/1024/1024,1))</f>
        <v>1</v>
      </c>
      <c r="D66" s="9">
        <f>IF(C66=1,200,250)</f>
        <v>200</v>
      </c>
      <c r="E66" s="9">
        <f>IF(C66=1,5000,7500)</f>
        <v>5000</v>
      </c>
      <c r="G66" s="8" t="s">
        <v>89</v>
      </c>
      <c r="H66" s="8"/>
      <c r="I66" s="8"/>
      <c r="J66" s="8"/>
      <c r="K66" s="8"/>
      <c r="L66" s="7"/>
      <c r="M66" s="7"/>
      <c r="N66" s="7"/>
    </row>
    <row r="67" spans="1:14" x14ac:dyDescent="0.25">
      <c r="G67" s="8" t="s">
        <v>90</v>
      </c>
      <c r="H67" s="8"/>
      <c r="I67" s="8"/>
      <c r="J67" s="8"/>
      <c r="K67" s="8"/>
      <c r="L67" s="7"/>
      <c r="M67" s="7"/>
      <c r="N67" s="7"/>
    </row>
    <row r="68" spans="1:14" x14ac:dyDescent="0.25">
      <c r="G68" s="8" t="s">
        <v>91</v>
      </c>
      <c r="H68" s="8"/>
      <c r="I68" s="8"/>
      <c r="J68" s="8"/>
      <c r="K68" s="8"/>
      <c r="L68" s="7"/>
      <c r="M68" s="7"/>
      <c r="N68" s="7"/>
    </row>
    <row r="69" spans="1:14" x14ac:dyDescent="0.25">
      <c r="G69" s="8" t="s">
        <v>92</v>
      </c>
      <c r="H69" s="8"/>
      <c r="I69" s="8"/>
      <c r="J69" s="8"/>
      <c r="K69" s="8"/>
      <c r="L69" s="7"/>
      <c r="M69" s="7"/>
      <c r="N69" s="7"/>
    </row>
    <row r="70" spans="1:14" x14ac:dyDescent="0.25">
      <c r="G70" s="8"/>
      <c r="H70" s="8"/>
      <c r="I70" s="8"/>
      <c r="J70" s="8"/>
      <c r="K70" s="8"/>
      <c r="L70" s="7"/>
      <c r="M70" s="7"/>
      <c r="N70" s="7"/>
    </row>
    <row r="72" spans="1:14" x14ac:dyDescent="0.25">
      <c r="B72" s="31" t="s">
        <v>93</v>
      </c>
      <c r="C72" s="31" t="s">
        <v>94</v>
      </c>
      <c r="D72" s="28"/>
      <c r="E72" s="28"/>
      <c r="F72" s="28"/>
      <c r="G72" s="28"/>
      <c r="H72" s="28"/>
      <c r="I72" s="28"/>
      <c r="J72" s="30"/>
      <c r="K72" s="32"/>
      <c r="L72" s="32"/>
    </row>
    <row r="73" spans="1:14" x14ac:dyDescent="0.25">
      <c r="B73" s="36"/>
      <c r="C73" s="27" t="s">
        <v>95</v>
      </c>
      <c r="D73" s="27"/>
      <c r="E73" s="27"/>
      <c r="F73" s="27"/>
      <c r="G73" s="27"/>
      <c r="H73" s="27"/>
      <c r="I73" s="27"/>
      <c r="J73" s="29"/>
      <c r="K73" s="32"/>
      <c r="L73" s="32"/>
    </row>
    <row r="74" spans="1:14" x14ac:dyDescent="0.25">
      <c r="B74" s="37"/>
      <c r="C74" s="27" t="s">
        <v>95</v>
      </c>
      <c r="D74" s="28"/>
      <c r="E74" s="28"/>
      <c r="F74" s="28"/>
      <c r="G74" s="28"/>
      <c r="H74" s="28"/>
      <c r="I74" s="28"/>
      <c r="J74" s="30"/>
      <c r="K74" s="32"/>
      <c r="L74" s="32"/>
    </row>
    <row r="75" spans="1:14" x14ac:dyDescent="0.25">
      <c r="B75" s="38"/>
      <c r="C75" s="28" t="s">
        <v>96</v>
      </c>
      <c r="D75" s="28"/>
      <c r="E75" s="28"/>
      <c r="F75" s="28"/>
      <c r="G75" s="28"/>
      <c r="H75" s="28"/>
      <c r="I75" s="28"/>
      <c r="J75" s="30"/>
      <c r="K75" s="32"/>
      <c r="L75" s="32"/>
    </row>
    <row r="76" spans="1:14" x14ac:dyDescent="0.25">
      <c r="B76" s="39"/>
      <c r="C76" s="28" t="s">
        <v>97</v>
      </c>
      <c r="D76" s="28"/>
      <c r="E76" s="28"/>
      <c r="F76" s="28"/>
      <c r="G76" s="28"/>
      <c r="H76" s="28"/>
      <c r="I76" s="28"/>
      <c r="J76" s="30"/>
      <c r="K76" s="32"/>
      <c r="L76" s="32"/>
    </row>
    <row r="77" spans="1:14" x14ac:dyDescent="0.25">
      <c r="B77" s="40"/>
      <c r="C77" s="28" t="s">
        <v>98</v>
      </c>
      <c r="D77" s="28"/>
      <c r="E77" s="28"/>
      <c r="F77" s="28"/>
      <c r="G77" s="28"/>
      <c r="H77" s="28"/>
      <c r="I77" s="28"/>
      <c r="J77" s="30"/>
      <c r="K77" s="32"/>
      <c r="L77" s="32"/>
    </row>
    <row r="78" spans="1:14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</row>
    <row r="79" spans="1:14" x14ac:dyDescent="0.25">
      <c r="A79" s="32"/>
      <c r="B79" s="33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</row>
    <row r="80" spans="1:14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</row>
    <row r="81" spans="1:13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</row>
    <row r="82" spans="1:13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13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6" spans="1:13" hidden="1" x14ac:dyDescent="0.25">
      <c r="B86" s="14" t="s">
        <v>99</v>
      </c>
      <c r="C86" s="14">
        <f>SUMPRODUCT(C7:C19,H7:H19)</f>
        <v>1000000</v>
      </c>
    </row>
    <row r="87" spans="1:13" hidden="1" x14ac:dyDescent="0.25">
      <c r="B87" s="14" t="s">
        <v>100</v>
      </c>
      <c r="C87" s="14">
        <f>_xlfn.MAXIFS(C7:C19,H7:H19,"&gt;0")</f>
        <v>1000000</v>
      </c>
    </row>
    <row r="88" spans="1:13" hidden="1" x14ac:dyDescent="0.25">
      <c r="B88" s="14" t="s">
        <v>101</v>
      </c>
      <c r="C88" s="15" t="str">
        <f>IF(AND(TOTAL_FILES&lt;=20000000,LARGEST_VOLUME_FILES&lt;=10000000),"SMALL",IF(AND(TOTAL_FILES&lt;=100000000,LARGEST_VOLUME_FILES&lt;=50000000),"MEDIUM","LARGE"))</f>
        <v>SMALL</v>
      </c>
    </row>
    <row r="89" spans="1:13" hidden="1" x14ac:dyDescent="0.25">
      <c r="B89" s="14" t="s">
        <v>102</v>
      </c>
      <c r="C89" s="14">
        <v>90</v>
      </c>
    </row>
    <row r="90" spans="1:13" hidden="1" x14ac:dyDescent="0.25">
      <c r="B90" s="14" t="s">
        <v>103</v>
      </c>
      <c r="C90" s="14">
        <v>7</v>
      </c>
    </row>
    <row r="91" spans="1:13" hidden="1" x14ac:dyDescent="0.25">
      <c r="B91" s="14" t="s">
        <v>104</v>
      </c>
      <c r="C91" s="14">
        <f>SUMPRODUCT(D7:D19,C7:C19)*D6+SUMPRODUCT(E7:E19,C7:C19)*E6+SUMPRODUCT(F7:F19,C7:C19)*F6+SUMPRODUCT(G7:G19,C7:C19)*G6</f>
        <v>2000000</v>
      </c>
    </row>
    <row r="92" spans="1:13" hidden="1" x14ac:dyDescent="0.25">
      <c r="B92" s="14" t="s">
        <v>105</v>
      </c>
      <c r="C92" s="16">
        <v>0.4</v>
      </c>
    </row>
    <row r="93" spans="1:13" hidden="1" x14ac:dyDescent="0.25">
      <c r="B93" s="14" t="s">
        <v>106</v>
      </c>
      <c r="C93" s="14">
        <f>M20/10</f>
        <v>1</v>
      </c>
    </row>
    <row r="94" spans="1:13" hidden="1" x14ac:dyDescent="0.25">
      <c r="B94" s="14" t="s">
        <v>107</v>
      </c>
      <c r="C94" s="14">
        <v>35</v>
      </c>
    </row>
  </sheetData>
  <mergeCells count="12">
    <mergeCell ref="B37:E37"/>
    <mergeCell ref="B10:B19"/>
    <mergeCell ref="B2:H2"/>
    <mergeCell ref="J2:M2"/>
    <mergeCell ref="B4:B5"/>
    <mergeCell ref="D4:G4"/>
    <mergeCell ref="H4:H5"/>
    <mergeCell ref="J4:J5"/>
    <mergeCell ref="K4:K5"/>
    <mergeCell ref="L4:L5"/>
    <mergeCell ref="M4:M5"/>
    <mergeCell ref="B24:E24"/>
  </mergeCells>
  <conditionalFormatting sqref="C7:C19">
    <cfRule type="cellIs" dxfId="8" priority="7" stopIfTrue="1" operator="greaterThan">
      <formula>100000000</formula>
    </cfRule>
  </conditionalFormatting>
  <conditionalFormatting sqref="C22">
    <cfRule type="cellIs" dxfId="7" priority="5" operator="greaterThan">
      <formula>700000000</formula>
    </cfRule>
  </conditionalFormatting>
  <conditionalFormatting sqref="C29">
    <cfRule type="expression" dxfId="6" priority="9" stopIfTrue="1">
      <formula>(ROUND($C$29,1)=ROUND($C$29,0))</formula>
    </cfRule>
  </conditionalFormatting>
  <conditionalFormatting sqref="C66">
    <cfRule type="cellIs" dxfId="5" priority="3" operator="greaterThanOrEqual">
      <formula>64</formula>
    </cfRule>
  </conditionalFormatting>
  <conditionalFormatting sqref="H20">
    <cfRule type="cellIs" dxfId="4" priority="2" stopIfTrue="1" operator="greaterThan">
      <formula>19</formula>
    </cfRule>
  </conditionalFormatting>
  <conditionalFormatting sqref="K20">
    <cfRule type="cellIs" dxfId="3" priority="8" operator="greaterThan">
      <formula>20</formula>
    </cfRule>
  </conditionalFormatting>
  <conditionalFormatting sqref="L7:L11">
    <cfRule type="cellIs" dxfId="2" priority="4" stopIfTrue="1" operator="greaterThan">
      <formula>500</formula>
    </cfRule>
  </conditionalFormatting>
  <conditionalFormatting sqref="L12:L19">
    <cfRule type="cellIs" dxfId="1" priority="1" operator="greaterThan">
      <formula>1500</formula>
    </cfRule>
  </conditionalFormatting>
  <conditionalFormatting sqref="M7:M20">
    <cfRule type="cellIs" dxfId="0" priority="6" operator="greaterThan">
      <formula>3000</formula>
    </cfRule>
  </conditionalFormatting>
  <hyperlinks>
    <hyperlink ref="F35" r:id="rId1" xr:uid="{5ECBE6BD-D3DF-493A-9B3C-F15CFD6FF207}"/>
    <hyperlink ref="E35" r:id="rId2" xr:uid="{575E452F-6211-0540-9494-CF28BCBD9235}"/>
    <hyperlink ref="G35" r:id="rId3" xr:uid="{80158138-8F7C-FF49-BC42-9C45430C79E5}"/>
    <hyperlink ref="H35" r:id="rId4" xr:uid="{2D40C5B8-F45C-4C64-846B-4D3EFADC4133}"/>
  </hyperlinks>
  <pageMargins left="0.7" right="0.7" top="0.75" bottom="0.75" header="0.3" footer="0.3"/>
  <pageSetup paperSize="9" orientation="portrait" horizontalDpi="0" verticalDpi="0"/>
  <ignoredErrors>
    <ignoredError sqref="H7:H11 D20:G2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6e5f3e-f129-44af-99a3-7824bf2fb428" xsi:nil="true"/>
    <lcf76f155ced4ddcb4097134ff3c332f xmlns="896f5a4c-d49f-4cf8-b895-18c91e2618a1">
      <Terms xmlns="http://schemas.microsoft.com/office/infopath/2007/PartnerControls"/>
    </lcf76f155ced4ddcb4097134ff3c332f>
    <SharedWithUsers xmlns="fd6e5f3e-f129-44af-99a3-7824bf2fb428">
      <UserInfo>
        <DisplayName>Yohann Duchenay</DisplayName>
        <AccountId>130</AccountId>
        <AccountType/>
      </UserInfo>
      <UserInfo>
        <DisplayName>Derek Murphy</DisplayName>
        <AccountId>17</AccountId>
        <AccountType/>
      </UserInfo>
      <UserInfo>
        <DisplayName>Jonathan Chinitz</DisplayName>
        <AccountId>38</AccountId>
        <AccountType/>
      </UserInfo>
      <UserInfo>
        <DisplayName>Carl Dahl</DisplayName>
        <AccountId>42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FDECC58A25AE42A9198A8CE4C6DD59" ma:contentTypeVersion="14" ma:contentTypeDescription="Create a new document." ma:contentTypeScope="" ma:versionID="afdd3df9b5ef52a29170ed6c2cf6af5f">
  <xsd:schema xmlns:xsd="http://www.w3.org/2001/XMLSchema" xmlns:xs="http://www.w3.org/2001/XMLSchema" xmlns:p="http://schemas.microsoft.com/office/2006/metadata/properties" xmlns:ns2="896f5a4c-d49f-4cf8-b895-18c91e2618a1" xmlns:ns3="fd6e5f3e-f129-44af-99a3-7824bf2fb428" targetNamespace="http://schemas.microsoft.com/office/2006/metadata/properties" ma:root="true" ma:fieldsID="7ab2f8c5b16d5f8415d2795a357d7d1f" ns2:_="" ns3:_="">
    <xsd:import namespace="896f5a4c-d49f-4cf8-b895-18c91e2618a1"/>
    <xsd:import namespace="fd6e5f3e-f129-44af-99a3-7824bf2fb4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f5a4c-d49f-4cf8-b895-18c91e2618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9519eb8-001b-4dd9-8191-a5d956a192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e5f3e-f129-44af-99a3-7824bf2fb42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5823202-fb82-4438-8f51-61c5886b0e7d}" ma:internalName="TaxCatchAll" ma:showField="CatchAllData" ma:web="fd6e5f3e-f129-44af-99a3-7824bf2fb4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D90276-34E7-4581-A877-8DEA62A9B112}">
  <ds:schemaRefs>
    <ds:schemaRef ds:uri="http://schemas.microsoft.com/office/2006/metadata/properties"/>
    <ds:schemaRef ds:uri="http://schemas.microsoft.com/office/infopath/2007/PartnerControls"/>
    <ds:schemaRef ds:uri="fd6e5f3e-f129-44af-99a3-7824bf2fb428"/>
    <ds:schemaRef ds:uri="896f5a4c-d49f-4cf8-b895-18c91e2618a1"/>
  </ds:schemaRefs>
</ds:datastoreItem>
</file>

<file path=customXml/itemProps2.xml><?xml version="1.0" encoding="utf-8"?>
<ds:datastoreItem xmlns:ds="http://schemas.openxmlformats.org/officeDocument/2006/customXml" ds:itemID="{81B01F66-3EF0-4DFB-9C20-23974FF140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A738E4-9C20-49D5-B0F9-A5CB89ABA9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6f5a4c-d49f-4cf8-b895-18c91e2618a1"/>
    <ds:schemaRef ds:uri="fd6e5f3e-f129-44af-99a3-7824bf2fb4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HOWTO</vt:lpstr>
      <vt:lpstr>NIQ Sizing</vt:lpstr>
      <vt:lpstr>'NIQ Sizing'!ADJUSTED_FILES</vt:lpstr>
      <vt:lpstr>ADJUSTED_USERS</vt:lpstr>
      <vt:lpstr>'NIQ Sizing'!AGG_RETENTION_DAYS</vt:lpstr>
      <vt:lpstr>BYTES_PER_EVENT</vt:lpstr>
      <vt:lpstr>'NIQ Sizing'!DATABASE_HEADROOM</vt:lpstr>
      <vt:lpstr>'NIQ Sizing'!LARGEST_VOLUME_FILES</vt:lpstr>
      <vt:lpstr>'NIQ Sizing'!MIN_CORES</vt:lpstr>
      <vt:lpstr>'NIQ Sizing'!MIN_RAM</vt:lpstr>
      <vt:lpstr>'NIQ Sizing'!RAW_RETENTION_DAYS</vt:lpstr>
      <vt:lpstr>'NIQ Sizing'!SYSTEM_SIZE</vt:lpstr>
      <vt:lpstr>'NIQ Sizing'!TOTAL_FILERS</vt:lpstr>
      <vt:lpstr>'NIQ Sizing'!TOTAL_FILES</vt:lpstr>
      <vt:lpstr>'NIQ Sizing'!TOTAL_VOLUMES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Thiebaut-George</dc:creator>
  <cp:keywords/>
  <dc:description/>
  <cp:lastModifiedBy>Carl Dahl</cp:lastModifiedBy>
  <cp:revision/>
  <dcterms:created xsi:type="dcterms:W3CDTF">2024-01-12T09:19:38Z</dcterms:created>
  <dcterms:modified xsi:type="dcterms:W3CDTF">2024-12-27T19:36:01Z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0x0101004EFDECC58A25AE42A9198A8CE4C6DD59</vt:lpwstr>
  </property>
  <property fmtid="{D5CDD505-2E9C-101B-9397-08002B2CF9AE}" pid="3" name="MediaServiceImageTags">
    <vt:lpwstr/>
  </property>
</Properties>
</file>